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11" i="1"/>
  <c r="E70"/>
  <c r="E73" s="1"/>
  <c r="E89" s="1"/>
  <c r="E69"/>
  <c r="E85" s="1"/>
  <c r="E92" s="1"/>
  <c r="E55"/>
  <c r="E54"/>
  <c r="E43"/>
  <c r="E42"/>
  <c r="E47" s="1"/>
  <c r="E41"/>
  <c r="E35"/>
  <c r="E30"/>
  <c r="E31" s="1"/>
  <c r="E32" s="1"/>
  <c r="E28"/>
  <c r="E27"/>
  <c r="E29" s="1"/>
  <c r="E24"/>
  <c r="E36" l="1"/>
  <c r="E51" s="1"/>
  <c r="E50"/>
  <c r="G32"/>
  <c r="E33"/>
  <c r="E52"/>
</calcChain>
</file>

<file path=xl/sharedStrings.xml><?xml version="1.0" encoding="utf-8"?>
<sst xmlns="http://schemas.openxmlformats.org/spreadsheetml/2006/main" count="113" uniqueCount="90">
  <si>
    <t>Mt</t>
  </si>
  <si>
    <t>h max</t>
  </si>
  <si>
    <t>mm</t>
  </si>
  <si>
    <t>kNm</t>
  </si>
  <si>
    <t>fpe</t>
  </si>
  <si>
    <t>fp0</t>
  </si>
  <si>
    <t>MPa</t>
  </si>
  <si>
    <t>fc transfer</t>
  </si>
  <si>
    <t>fc service</t>
  </si>
  <si>
    <t>Type of Prestressing</t>
  </si>
  <si>
    <t>wire strand</t>
  </si>
  <si>
    <t>dia of wire</t>
  </si>
  <si>
    <t>mm2</t>
  </si>
  <si>
    <t>Design a simply supported Type 1 prestressed beam with MT = 435 kNm  (including an estimated MSW = 55 kNm). The height of the beam is restricted to  920 mm. The prestress at transfer fp0 = 1035 N/mm2 and the prestress at service fpe = 860 N/mm2. Based on the grade of concrete, the allowable compressive stresses are 12.5 N/mm2 at transfer and 11.0 N/mm2 at service. properties of the prestressing strands are given below. Type of prestressing -7 wirestrand with nominal dia of each bar 12.8 mm and nominal area 99.3 mm2.</t>
  </si>
  <si>
    <t>Data Given</t>
  </si>
  <si>
    <t>Preliminary Design</t>
  </si>
  <si>
    <t>Md=Msw</t>
  </si>
  <si>
    <t>Md/Mt</t>
  </si>
  <si>
    <t>Md/Mt is Less than 0.3</t>
  </si>
  <si>
    <t xml:space="preserve">h=0.03 to 0.04 of sqrt (M),  M is the total Moment excluding self weight </t>
  </si>
  <si>
    <t>M=(435-55)</t>
  </si>
  <si>
    <t>h= 0.04* sqrt ( M in Nmm)</t>
  </si>
  <si>
    <t>h=.03*sqrt(M) M in kNm h in m</t>
  </si>
  <si>
    <t>m</t>
  </si>
  <si>
    <t xml:space="preserve">Taking  h as maximum height </t>
  </si>
  <si>
    <t>Lever arm z</t>
  </si>
  <si>
    <t>N</t>
  </si>
  <si>
    <t>Area of Prestressing Steel=Ap=Effective Prestress/fpe</t>
  </si>
  <si>
    <t>Area of section to have average stress in concrete =.5 fcc all</t>
  </si>
  <si>
    <t>fcc. All</t>
  </si>
  <si>
    <t>390 mm</t>
  </si>
  <si>
    <t>920 mm</t>
  </si>
  <si>
    <t>100 mm</t>
  </si>
  <si>
    <t xml:space="preserve">Assumed Section </t>
  </si>
  <si>
    <t>Geometric Properties</t>
  </si>
  <si>
    <t>A</t>
  </si>
  <si>
    <t>mm4</t>
  </si>
  <si>
    <t>Z= section modulus</t>
  </si>
  <si>
    <t>Kern Point upper and lower same here</t>
  </si>
  <si>
    <t>I</t>
  </si>
  <si>
    <t>kb=kt=(I/A)/( Ct=Cb=Yb=Yt distance from Centroid of section to upper most or lower most point of section=Z/A</t>
  </si>
  <si>
    <t>Now preliminary Design gives</t>
  </si>
  <si>
    <t>Pe</t>
  </si>
  <si>
    <t>Cb=Ct</t>
  </si>
  <si>
    <t>Kb=Kt</t>
  </si>
  <si>
    <t>Ap</t>
  </si>
  <si>
    <t xml:space="preserve">C) </t>
  </si>
  <si>
    <t>Final Design</t>
  </si>
  <si>
    <t>a</t>
  </si>
  <si>
    <t>b</t>
  </si>
  <si>
    <t>Effective Prestress= ML/z as Md is less</t>
  </si>
  <si>
    <t>e = (Msw / P0) + kb</t>
  </si>
  <si>
    <t>C or T is equal to P0. The value of P0 can be estimated as</t>
  </si>
  <si>
    <t>follows.</t>
  </si>
  <si>
    <t>a) 90% of the initial applied prestress (Pi) for pre-tensioned members.</t>
  </si>
  <si>
    <t>b) Equal to Pi for post-tensioned members.</t>
  </si>
  <si>
    <t>The value of Pi can be estimated from the amount of prestressing steel determined in</t>
  </si>
  <si>
    <t>the preliminary design.</t>
  </si>
  <si>
    <t>Pi = Ap(0.8fpk)</t>
  </si>
  <si>
    <t>Po=Ap*Initial prestress applied</t>
  </si>
  <si>
    <t>2)</t>
  </si>
  <si>
    <t>Pe = MT /(e + kt)</t>
  </si>
  <si>
    <t>Considering fpe = 0.7fpk , the area of prestressing steel is recomputed as follows.</t>
  </si>
  <si>
    <t>Ap = Pe / fpe</t>
  </si>
  <si>
    <t>Calculation of ecentricity e from lower kern point</t>
  </si>
  <si>
    <t xml:space="preserve"> Recompute the effective prestress and associated variables from upper kern point</t>
  </si>
  <si>
    <t>Since Pe is very close to the previous estimate of 826 kN, Ap, P0 and e remain same.</t>
  </si>
  <si>
    <t>The tendons are placed in two ducts. The outer diameter of each duct is 54 mm.</t>
  </si>
  <si>
    <t>Select (10) 7-wire strands with</t>
  </si>
  <si>
    <t>Ap=10*99.3</t>
  </si>
  <si>
    <t>Check thecompressive stress in concrete</t>
  </si>
  <si>
    <t>At transfer</t>
  </si>
  <si>
    <r>
      <t>A</t>
    </r>
    <r>
      <rPr>
        <sz val="11"/>
        <color theme="1"/>
        <rFont val="Symbol"/>
        <family val="1"/>
        <charset val="2"/>
      </rPr>
      <t>³</t>
    </r>
    <r>
      <rPr>
        <sz val="11"/>
        <color theme="1"/>
        <rFont val="Calibri"/>
        <family val="2"/>
      </rPr>
      <t>P0h/(fcc.all*cb)</t>
    </r>
  </si>
  <si>
    <t xml:space="preserve">At service </t>
  </si>
  <si>
    <t>fb</t>
  </si>
  <si>
    <t>Ct</t>
  </si>
  <si>
    <t>Cb</t>
  </si>
  <si>
    <t>H</t>
  </si>
  <si>
    <t>Centroid</t>
  </si>
  <si>
    <t>At Centroid Average stress is Po/A</t>
  </si>
  <si>
    <t>At Bottom=Fb=(Po/A)*Ct/H</t>
  </si>
  <si>
    <t>Fb Should be less than or equal to fcc.all</t>
  </si>
  <si>
    <r>
      <t>A</t>
    </r>
    <r>
      <rPr>
        <sz val="11"/>
        <color theme="1"/>
        <rFont val="Symbol"/>
        <family val="1"/>
        <charset val="2"/>
      </rPr>
      <t>³</t>
    </r>
    <r>
      <rPr>
        <sz val="11"/>
        <color theme="1"/>
        <rFont val="Calibri"/>
        <family val="2"/>
      </rPr>
      <t>P0h/(fcc.all*Ct)</t>
    </r>
  </si>
  <si>
    <t xml:space="preserve">At service maximum compressive stress  will occur at top </t>
  </si>
  <si>
    <r>
      <t>A</t>
    </r>
    <r>
      <rPr>
        <sz val="11"/>
        <color theme="1"/>
        <rFont val="Symbol"/>
        <family val="1"/>
        <charset val="2"/>
      </rPr>
      <t>³</t>
    </r>
    <r>
      <rPr>
        <sz val="11"/>
        <color theme="1"/>
        <rFont val="Calibri"/>
        <family val="2"/>
      </rPr>
      <t>Pe*h/(fcc.all*cb)</t>
    </r>
  </si>
  <si>
    <t>At service maximum compressive stress will occur at top</t>
  </si>
  <si>
    <t>So, higher value of A is taken</t>
  </si>
  <si>
    <t>Problem</t>
  </si>
  <si>
    <t>f</t>
  </si>
  <si>
    <t>This figure provides Area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</si>
</sst>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71</xdr:row>
      <xdr:rowOff>7620</xdr:rowOff>
    </xdr:from>
    <xdr:to>
      <xdr:col>11</xdr:col>
      <xdr:colOff>350520</xdr:colOff>
      <xdr:row>81</xdr:row>
      <xdr:rowOff>53340</xdr:rowOff>
    </xdr:to>
    <xdr:sp macro="" textlink="">
      <xdr:nvSpPr>
        <xdr:cNvPr id="5" name="Right Triangle 4"/>
        <xdr:cNvSpPr/>
      </xdr:nvSpPr>
      <xdr:spPr>
        <a:xfrm>
          <a:off x="10271760" y="15994380"/>
          <a:ext cx="1402080" cy="1874520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373380</xdr:colOff>
      <xdr:row>70</xdr:row>
      <xdr:rowOff>175260</xdr:rowOff>
    </xdr:from>
    <xdr:to>
      <xdr:col>8</xdr:col>
      <xdr:colOff>403860</xdr:colOff>
      <xdr:row>76</xdr:row>
      <xdr:rowOff>167640</xdr:rowOff>
    </xdr:to>
    <xdr:cxnSp macro="">
      <xdr:nvCxnSpPr>
        <xdr:cNvPr id="7" name="Straight Arrow Connector 6"/>
        <xdr:cNvCxnSpPr/>
      </xdr:nvCxnSpPr>
      <xdr:spPr>
        <a:xfrm rot="16200000" flipH="1">
          <a:off x="9338310" y="16508730"/>
          <a:ext cx="1089660" cy="3048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388620</xdr:colOff>
      <xdr:row>77</xdr:row>
      <xdr:rowOff>22860</xdr:rowOff>
    </xdr:from>
    <xdr:to>
      <xdr:col>8</xdr:col>
      <xdr:colOff>396240</xdr:colOff>
      <xdr:row>81</xdr:row>
      <xdr:rowOff>91440</xdr:rowOff>
    </xdr:to>
    <xdr:cxnSp macro="">
      <xdr:nvCxnSpPr>
        <xdr:cNvPr id="9" name="Straight Arrow Connector 8"/>
        <xdr:cNvCxnSpPr/>
      </xdr:nvCxnSpPr>
      <xdr:spPr>
        <a:xfrm rot="5400000">
          <a:off x="9486900" y="17503140"/>
          <a:ext cx="80010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265906</xdr:colOff>
      <xdr:row>71</xdr:row>
      <xdr:rowOff>38894</xdr:rowOff>
    </xdr:from>
    <xdr:to>
      <xdr:col>12</xdr:col>
      <xdr:colOff>267494</xdr:colOff>
      <xdr:row>81</xdr:row>
      <xdr:rowOff>92234</xdr:rowOff>
    </xdr:to>
    <xdr:cxnSp macro="">
      <xdr:nvCxnSpPr>
        <xdr:cNvPr id="11" name="Straight Arrow Connector 10"/>
        <xdr:cNvCxnSpPr/>
      </xdr:nvCxnSpPr>
      <xdr:spPr>
        <a:xfrm rot="5400000">
          <a:off x="11258550" y="16965930"/>
          <a:ext cx="188214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510540</xdr:colOff>
      <xdr:row>95</xdr:row>
      <xdr:rowOff>30480</xdr:rowOff>
    </xdr:from>
    <xdr:to>
      <xdr:col>13</xdr:col>
      <xdr:colOff>38100</xdr:colOff>
      <xdr:row>105</xdr:row>
      <xdr:rowOff>60960</xdr:rowOff>
    </xdr:to>
    <xdr:sp macro="" textlink="">
      <xdr:nvSpPr>
        <xdr:cNvPr id="13" name="Right Triangle 12"/>
        <xdr:cNvSpPr/>
      </xdr:nvSpPr>
      <xdr:spPr>
        <a:xfrm flipV="1">
          <a:off x="11224260" y="20406360"/>
          <a:ext cx="1356360" cy="1859280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373380</xdr:colOff>
      <xdr:row>94</xdr:row>
      <xdr:rowOff>175260</xdr:rowOff>
    </xdr:from>
    <xdr:to>
      <xdr:col>9</xdr:col>
      <xdr:colOff>403860</xdr:colOff>
      <xdr:row>100</xdr:row>
      <xdr:rowOff>167640</xdr:rowOff>
    </xdr:to>
    <xdr:cxnSp macro="">
      <xdr:nvCxnSpPr>
        <xdr:cNvPr id="14" name="Straight Arrow Connector 13"/>
        <xdr:cNvCxnSpPr/>
      </xdr:nvCxnSpPr>
      <xdr:spPr>
        <a:xfrm rot="16200000" flipH="1">
          <a:off x="9338310" y="16508730"/>
          <a:ext cx="1089660" cy="3048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388620</xdr:colOff>
      <xdr:row>101</xdr:row>
      <xdr:rowOff>22860</xdr:rowOff>
    </xdr:from>
    <xdr:to>
      <xdr:col>9</xdr:col>
      <xdr:colOff>396240</xdr:colOff>
      <xdr:row>105</xdr:row>
      <xdr:rowOff>91440</xdr:rowOff>
    </xdr:to>
    <xdr:cxnSp macro="">
      <xdr:nvCxnSpPr>
        <xdr:cNvPr id="15" name="Straight Arrow Connector 14"/>
        <xdr:cNvCxnSpPr/>
      </xdr:nvCxnSpPr>
      <xdr:spPr>
        <a:xfrm rot="5400000">
          <a:off x="9486900" y="17503140"/>
          <a:ext cx="80010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265906</xdr:colOff>
      <xdr:row>95</xdr:row>
      <xdr:rowOff>38894</xdr:rowOff>
    </xdr:from>
    <xdr:to>
      <xdr:col>13</xdr:col>
      <xdr:colOff>267494</xdr:colOff>
      <xdr:row>105</xdr:row>
      <xdr:rowOff>92234</xdr:rowOff>
    </xdr:to>
    <xdr:cxnSp macro="">
      <xdr:nvCxnSpPr>
        <xdr:cNvPr id="16" name="Straight Arrow Connector 15"/>
        <xdr:cNvCxnSpPr/>
      </xdr:nvCxnSpPr>
      <xdr:spPr>
        <a:xfrm rot="5400000">
          <a:off x="11258550" y="16965930"/>
          <a:ext cx="188214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4442460</xdr:colOff>
      <xdr:row>108</xdr:row>
      <xdr:rowOff>144780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558760"/>
          <a:ext cx="4442460" cy="233934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16</xdr:col>
      <xdr:colOff>388620</xdr:colOff>
      <xdr:row>45</xdr:row>
      <xdr:rowOff>129540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50240" y="6682740"/>
          <a:ext cx="2217420" cy="2324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N111"/>
  <sheetViews>
    <sheetView tabSelected="1" topLeftCell="C23" workbookViewId="0">
      <selection activeCell="N48" sqref="N48"/>
    </sheetView>
  </sheetViews>
  <sheetFormatPr defaultRowHeight="14.4"/>
  <cols>
    <col min="3" max="3" width="20.6640625" customWidth="1"/>
    <col min="4" max="4" width="73.109375" customWidth="1"/>
    <col min="5" max="5" width="12" bestFit="1" customWidth="1"/>
  </cols>
  <sheetData>
    <row r="6" spans="3:6" ht="9.6" customHeight="1"/>
    <row r="7" spans="3:6" hidden="1"/>
    <row r="8" spans="3:6" ht="84.6" customHeight="1">
      <c r="C8" t="s">
        <v>87</v>
      </c>
      <c r="D8" s="1" t="s">
        <v>13</v>
      </c>
    </row>
    <row r="9" spans="3:6">
      <c r="C9" t="s">
        <v>48</v>
      </c>
      <c r="D9" t="s">
        <v>14</v>
      </c>
    </row>
    <row r="10" spans="3:6">
      <c r="D10" t="s">
        <v>0</v>
      </c>
      <c r="E10">
        <v>435</v>
      </c>
      <c r="F10" t="s">
        <v>3</v>
      </c>
    </row>
    <row r="11" spans="3:6">
      <c r="D11" t="s">
        <v>16</v>
      </c>
      <c r="E11">
        <v>55</v>
      </c>
      <c r="F11" t="s">
        <v>3</v>
      </c>
    </row>
    <row r="12" spans="3:6">
      <c r="D12" t="s">
        <v>1</v>
      </c>
      <c r="E12">
        <v>920</v>
      </c>
      <c r="F12" t="s">
        <v>2</v>
      </c>
    </row>
    <row r="13" spans="3:6">
      <c r="D13" t="s">
        <v>4</v>
      </c>
      <c r="E13">
        <v>860</v>
      </c>
      <c r="F13" t="s">
        <v>6</v>
      </c>
    </row>
    <row r="14" spans="3:6">
      <c r="D14" t="s">
        <v>5</v>
      </c>
      <c r="E14">
        <v>1035</v>
      </c>
      <c r="F14" t="s">
        <v>6</v>
      </c>
    </row>
    <row r="15" spans="3:6">
      <c r="D15" t="s">
        <v>7</v>
      </c>
      <c r="E15">
        <v>12.5</v>
      </c>
      <c r="F15" t="s">
        <v>6</v>
      </c>
    </row>
    <row r="16" spans="3:6">
      <c r="D16" t="s">
        <v>8</v>
      </c>
      <c r="E16">
        <v>11</v>
      </c>
      <c r="F16" t="s">
        <v>6</v>
      </c>
    </row>
    <row r="17" spans="3:7">
      <c r="D17" t="s">
        <v>9</v>
      </c>
      <c r="E17">
        <v>7</v>
      </c>
      <c r="F17" t="s">
        <v>10</v>
      </c>
    </row>
    <row r="18" spans="3:7">
      <c r="D18" t="s">
        <v>11</v>
      </c>
      <c r="E18">
        <v>12.8</v>
      </c>
      <c r="F18" t="s">
        <v>2</v>
      </c>
    </row>
    <row r="19" spans="3:7">
      <c r="E19">
        <v>99.3</v>
      </c>
      <c r="F19" t="s">
        <v>12</v>
      </c>
    </row>
    <row r="21" spans="3:7">
      <c r="C21" t="s">
        <v>49</v>
      </c>
      <c r="D21" t="s">
        <v>15</v>
      </c>
    </row>
    <row r="22" spans="3:7">
      <c r="D22" t="s">
        <v>0</v>
      </c>
      <c r="E22">
        <v>435</v>
      </c>
    </row>
    <row r="23" spans="3:7">
      <c r="D23" t="s">
        <v>16</v>
      </c>
      <c r="E23">
        <v>55</v>
      </c>
    </row>
    <row r="24" spans="3:7">
      <c r="D24" t="s">
        <v>17</v>
      </c>
      <c r="E24">
        <f>E23/E22</f>
        <v>0.12643678160919541</v>
      </c>
    </row>
    <row r="25" spans="3:7">
      <c r="D25" t="s">
        <v>18</v>
      </c>
    </row>
    <row r="26" spans="3:7">
      <c r="D26" t="s">
        <v>19</v>
      </c>
    </row>
    <row r="27" spans="3:7">
      <c r="D27" t="s">
        <v>20</v>
      </c>
      <c r="E27">
        <f>435-55</f>
        <v>380</v>
      </c>
    </row>
    <row r="28" spans="3:7">
      <c r="D28" t="s">
        <v>22</v>
      </c>
      <c r="E28">
        <f>0.03* SQRT( 380)</f>
        <v>0.58480766068853773</v>
      </c>
      <c r="F28" t="s">
        <v>23</v>
      </c>
    </row>
    <row r="29" spans="3:7">
      <c r="D29" t="s">
        <v>21</v>
      </c>
      <c r="E29">
        <f>0.04*SQRT(E27)</f>
        <v>0.77974354758471709</v>
      </c>
    </row>
    <row r="30" spans="3:7">
      <c r="D30" t="s">
        <v>24</v>
      </c>
      <c r="E30">
        <f>920</f>
        <v>920</v>
      </c>
      <c r="F30" t="s">
        <v>2</v>
      </c>
    </row>
    <row r="31" spans="3:7">
      <c r="D31" t="s">
        <v>25</v>
      </c>
      <c r="E31">
        <f>0.5*E30</f>
        <v>460</v>
      </c>
      <c r="F31" t="s">
        <v>2</v>
      </c>
    </row>
    <row r="32" spans="3:7">
      <c r="D32" t="s">
        <v>50</v>
      </c>
      <c r="E32">
        <f>380*10^6/E31</f>
        <v>826086.95652173914</v>
      </c>
      <c r="F32" t="s">
        <v>26</v>
      </c>
      <c r="G32">
        <f>E32/860</f>
        <v>960.56622851365012</v>
      </c>
    </row>
    <row r="33" spans="4:13">
      <c r="D33" t="s">
        <v>27</v>
      </c>
      <c r="E33">
        <f>E32/E13</f>
        <v>960.56622851365012</v>
      </c>
    </row>
    <row r="34" spans="4:13">
      <c r="D34" t="s">
        <v>28</v>
      </c>
      <c r="J34" s="7" t="s">
        <v>30</v>
      </c>
      <c r="K34" s="7"/>
      <c r="L34" s="7"/>
    </row>
    <row r="35" spans="4:13">
      <c r="D35" t="s">
        <v>29</v>
      </c>
      <c r="E35">
        <f>11</f>
        <v>11</v>
      </c>
      <c r="I35" t="s">
        <v>32</v>
      </c>
      <c r="J35" s="2"/>
      <c r="K35" s="3"/>
      <c r="L35" s="4"/>
      <c r="M35" s="8" t="s">
        <v>31</v>
      </c>
    </row>
    <row r="36" spans="4:13">
      <c r="D36" t="s">
        <v>28</v>
      </c>
      <c r="E36">
        <f>E32/(0.5*E35)</f>
        <v>150197.62845849802</v>
      </c>
      <c r="K36" s="5"/>
      <c r="M36" s="8"/>
    </row>
    <row r="37" spans="4:13">
      <c r="K37" s="6"/>
      <c r="M37" s="8"/>
    </row>
    <row r="38" spans="4:13">
      <c r="D38" t="s">
        <v>33</v>
      </c>
      <c r="K38" s="6"/>
      <c r="M38" s="8"/>
    </row>
    <row r="39" spans="4:13">
      <c r="K39" s="6"/>
      <c r="M39" s="8"/>
    </row>
    <row r="40" spans="4:13">
      <c r="D40" t="s">
        <v>34</v>
      </c>
      <c r="K40" s="6"/>
      <c r="M40" s="8"/>
    </row>
    <row r="41" spans="4:13">
      <c r="D41" t="s">
        <v>35</v>
      </c>
      <c r="E41">
        <f>390*100*2+100*720</f>
        <v>150000</v>
      </c>
      <c r="K41" s="6"/>
      <c r="M41" s="8"/>
    </row>
    <row r="42" spans="4:13">
      <c r="D42" t="s">
        <v>39</v>
      </c>
      <c r="E42">
        <f>1.6287*10^10</f>
        <v>16287000000</v>
      </c>
      <c r="F42" t="s">
        <v>36</v>
      </c>
      <c r="I42" t="s">
        <v>32</v>
      </c>
      <c r="J42" s="2"/>
      <c r="K42" s="3"/>
      <c r="L42" s="4"/>
      <c r="M42" s="8"/>
    </row>
    <row r="43" spans="4:13">
      <c r="D43" t="s">
        <v>37</v>
      </c>
      <c r="E43">
        <f>E42/(920/2)</f>
        <v>35406521.739130437</v>
      </c>
    </row>
    <row r="46" spans="4:13">
      <c r="D46" t="s">
        <v>38</v>
      </c>
    </row>
    <row r="47" spans="4:13" ht="28.8">
      <c r="D47" s="1" t="s">
        <v>40</v>
      </c>
      <c r="E47">
        <f>(E42/E41)/(920/2)</f>
        <v>236.04347826086956</v>
      </c>
    </row>
    <row r="49" spans="3:6">
      <c r="D49" t="s">
        <v>41</v>
      </c>
    </row>
    <row r="50" spans="3:6">
      <c r="D50" t="s">
        <v>42</v>
      </c>
      <c r="E50">
        <f>E32</f>
        <v>826086.95652173914</v>
      </c>
    </row>
    <row r="51" spans="3:6">
      <c r="D51" t="s">
        <v>35</v>
      </c>
      <c r="E51">
        <f>E36</f>
        <v>150197.62845849802</v>
      </c>
    </row>
    <row r="52" spans="3:6">
      <c r="D52" t="s">
        <v>39</v>
      </c>
      <c r="E52">
        <f>E42</f>
        <v>16287000000</v>
      </c>
    </row>
    <row r="53" spans="3:6">
      <c r="D53" t="s">
        <v>43</v>
      </c>
      <c r="E53">
        <v>460</v>
      </c>
      <c r="F53" t="s">
        <v>2</v>
      </c>
    </row>
    <row r="54" spans="3:6">
      <c r="D54" t="s">
        <v>44</v>
      </c>
      <c r="E54">
        <f>236</f>
        <v>236</v>
      </c>
      <c r="F54" t="s">
        <v>2</v>
      </c>
    </row>
    <row r="55" spans="3:6">
      <c r="D55" t="s">
        <v>45</v>
      </c>
      <c r="E55">
        <f>960</f>
        <v>960</v>
      </c>
      <c r="F55" t="s">
        <v>12</v>
      </c>
    </row>
    <row r="57" spans="3:6">
      <c r="C57" t="s">
        <v>46</v>
      </c>
      <c r="D57" t="s">
        <v>47</v>
      </c>
    </row>
    <row r="59" spans="3:6">
      <c r="C59">
        <v>1</v>
      </c>
      <c r="D59" t="s">
        <v>64</v>
      </c>
    </row>
    <row r="61" spans="3:6">
      <c r="D61" t="s">
        <v>51</v>
      </c>
    </row>
    <row r="62" spans="3:6">
      <c r="D62" t="s">
        <v>52</v>
      </c>
    </row>
    <row r="63" spans="3:6">
      <c r="D63" t="s">
        <v>53</v>
      </c>
    </row>
    <row r="64" spans="3:6">
      <c r="D64" t="s">
        <v>54</v>
      </c>
    </row>
    <row r="65" spans="3:13">
      <c r="D65" t="s">
        <v>55</v>
      </c>
    </row>
    <row r="66" spans="3:13">
      <c r="D66" t="s">
        <v>56</v>
      </c>
    </row>
    <row r="67" spans="3:13">
      <c r="D67" t="s">
        <v>57</v>
      </c>
    </row>
    <row r="68" spans="3:13">
      <c r="D68" t="s">
        <v>58</v>
      </c>
    </row>
    <row r="69" spans="3:13">
      <c r="D69" t="s">
        <v>59</v>
      </c>
      <c r="E69">
        <f>1035*960</f>
        <v>993600</v>
      </c>
    </row>
    <row r="70" spans="3:13">
      <c r="D70" t="s">
        <v>51</v>
      </c>
      <c r="E70">
        <f>E54+55*10^6/(E69)</f>
        <v>291.35426731078906</v>
      </c>
      <c r="F70" t="s">
        <v>2</v>
      </c>
    </row>
    <row r="72" spans="3:13">
      <c r="C72" t="s">
        <v>60</v>
      </c>
      <c r="D72" t="s">
        <v>65</v>
      </c>
    </row>
    <row r="73" spans="3:13">
      <c r="D73" t="s">
        <v>61</v>
      </c>
      <c r="E73">
        <f>435*10^6/(E70+E54)</f>
        <v>824872.43768454925</v>
      </c>
    </row>
    <row r="74" spans="3:13">
      <c r="D74" t="s">
        <v>62</v>
      </c>
    </row>
    <row r="75" spans="3:13">
      <c r="D75" t="s">
        <v>63</v>
      </c>
      <c r="I75" t="s">
        <v>75</v>
      </c>
    </row>
    <row r="76" spans="3:13">
      <c r="D76" t="s">
        <v>66</v>
      </c>
    </row>
    <row r="77" spans="3:13">
      <c r="D77" t="s">
        <v>67</v>
      </c>
      <c r="M77" t="s">
        <v>77</v>
      </c>
    </row>
    <row r="78" spans="3:13">
      <c r="D78" t="s">
        <v>68</v>
      </c>
      <c r="H78" t="s">
        <v>78</v>
      </c>
    </row>
    <row r="79" spans="3:13">
      <c r="D79" t="s">
        <v>69</v>
      </c>
      <c r="I79" t="s">
        <v>76</v>
      </c>
    </row>
    <row r="83" spans="3:12">
      <c r="C83">
        <v>3</v>
      </c>
      <c r="D83" t="s">
        <v>70</v>
      </c>
      <c r="K83" t="s">
        <v>74</v>
      </c>
    </row>
    <row r="84" spans="3:12">
      <c r="D84" t="s">
        <v>71</v>
      </c>
    </row>
    <row r="85" spans="3:12">
      <c r="D85" t="s">
        <v>82</v>
      </c>
      <c r="E85">
        <f>E69*920/(12.5*460)</f>
        <v>158976</v>
      </c>
    </row>
    <row r="86" spans="3:12">
      <c r="I86" t="s">
        <v>79</v>
      </c>
    </row>
    <row r="87" spans="3:12">
      <c r="I87" t="s">
        <v>80</v>
      </c>
    </row>
    <row r="88" spans="3:12">
      <c r="D88" t="s">
        <v>73</v>
      </c>
      <c r="I88" t="s">
        <v>81</v>
      </c>
    </row>
    <row r="89" spans="3:12">
      <c r="D89" t="s">
        <v>84</v>
      </c>
      <c r="E89">
        <f>E73*920/(11*460)</f>
        <v>149976.80685173621</v>
      </c>
      <c r="I89" t="s">
        <v>72</v>
      </c>
    </row>
    <row r="90" spans="3:12">
      <c r="I90" t="s">
        <v>83</v>
      </c>
    </row>
    <row r="91" spans="3:12">
      <c r="I91" t="s">
        <v>84</v>
      </c>
    </row>
    <row r="92" spans="3:12">
      <c r="D92" t="s">
        <v>86</v>
      </c>
      <c r="E92">
        <f>E85</f>
        <v>158976</v>
      </c>
    </row>
    <row r="95" spans="3:12">
      <c r="L95" t="s">
        <v>88</v>
      </c>
    </row>
    <row r="99" spans="4:14">
      <c r="J99" t="s">
        <v>75</v>
      </c>
    </row>
    <row r="101" spans="4:14">
      <c r="N101" t="s">
        <v>77</v>
      </c>
    </row>
    <row r="102" spans="4:14">
      <c r="I102" t="s">
        <v>78</v>
      </c>
    </row>
    <row r="103" spans="4:14">
      <c r="J103" t="s">
        <v>76</v>
      </c>
    </row>
    <row r="109" spans="4:14">
      <c r="J109" t="s">
        <v>85</v>
      </c>
    </row>
    <row r="111" spans="4:14">
      <c r="D111" t="s">
        <v>89</v>
      </c>
      <c r="E111">
        <f>435*100*2+720*100</f>
        <v>159000</v>
      </c>
    </row>
  </sheetData>
  <mergeCells count="2">
    <mergeCell ref="J34:L34"/>
    <mergeCell ref="M35:M4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2020-04-15T12:15:15Z</dcterms:modified>
</cp:coreProperties>
</file>